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Nerkcroff\Desktop\proyectos en marcha\web_estudio\informatica\"/>
    </mc:Choice>
  </mc:AlternateContent>
  <xr:revisionPtr revIDLastSave="0" documentId="13_ncr:1_{E9C00BDE-4387-4077-BF8D-CD93D34CB8B3}" xr6:coauthVersionLast="47" xr6:coauthVersionMax="47" xr10:uidLastSave="{00000000-0000-0000-0000-000000000000}"/>
  <bookViews>
    <workbookView xWindow="38280" yWindow="-120" windowWidth="29040" windowHeight="15720" xr2:uid="{00000000-000D-0000-FFFF-FFFF00000000}"/>
  </bookViews>
  <sheets>
    <sheet name="MATRICULAS" sheetId="1" r:id="rId1"/>
    <sheet name="Gráfico_CIRCULAR" sheetId="4" r:id="rId2"/>
    <sheet name="Gráfico_COLUMNA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15" i="1" l="1"/>
  <c r="U12" i="1"/>
  <c r="U13" i="1"/>
  <c r="O43" i="1"/>
  <c r="O44" i="1"/>
  <c r="O45" i="1"/>
  <c r="O42" i="1"/>
  <c r="G49" i="1"/>
  <c r="G48" i="1"/>
  <c r="G47" i="1"/>
  <c r="G46" i="1"/>
  <c r="G45" i="1"/>
  <c r="G44" i="1"/>
  <c r="G43" i="1"/>
  <c r="G42" i="1"/>
  <c r="G41" i="1"/>
  <c r="L43" i="1"/>
  <c r="L44" i="1"/>
  <c r="L45" i="1"/>
  <c r="L42" i="1"/>
  <c r="K43" i="1"/>
  <c r="K44" i="1"/>
  <c r="K45" i="1"/>
  <c r="K42" i="1"/>
  <c r="M5" i="1"/>
  <c r="M6" i="1"/>
  <c r="J45" i="1"/>
  <c r="J44" i="1"/>
  <c r="J43" i="1"/>
  <c r="J42" i="1"/>
  <c r="C45" i="1"/>
  <c r="B45" i="1"/>
  <c r="C44" i="1"/>
  <c r="B44" i="1"/>
  <c r="C43" i="1"/>
  <c r="B43" i="1"/>
  <c r="C41" i="1"/>
  <c r="C42" i="1"/>
  <c r="B42" i="1"/>
  <c r="B41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5" i="1"/>
  <c r="N6" i="1"/>
  <c r="N7" i="1"/>
  <c r="N9" i="1"/>
  <c r="N10" i="1"/>
  <c r="N8" i="1" s="1"/>
  <c r="N11" i="1"/>
  <c r="N13" i="1"/>
  <c r="N14" i="1"/>
  <c r="N12" i="1" s="1"/>
  <c r="N15" i="1"/>
  <c r="N16" i="1"/>
  <c r="N18" i="1"/>
  <c r="N19" i="1"/>
  <c r="N17" i="1" s="1"/>
  <c r="N20" i="1"/>
  <c r="N21" i="1"/>
  <c r="N22" i="1"/>
  <c r="N24" i="1"/>
  <c r="N25" i="1"/>
  <c r="N23" i="1" s="1"/>
  <c r="N27" i="1"/>
  <c r="N28" i="1"/>
  <c r="N26" i="1" s="1"/>
  <c r="N29" i="1"/>
  <c r="N30" i="1"/>
  <c r="N31" i="1"/>
  <c r="N33" i="1"/>
  <c r="N34" i="1"/>
  <c r="N32" i="1" s="1"/>
  <c r="N35" i="1"/>
  <c r="N36" i="1"/>
  <c r="N5" i="1"/>
  <c r="J6" i="1"/>
  <c r="J8" i="1"/>
  <c r="J9" i="1"/>
  <c r="J11" i="1"/>
  <c r="J14" i="1"/>
  <c r="J15" i="1"/>
  <c r="J17" i="1"/>
  <c r="J19" i="1"/>
  <c r="J22" i="1"/>
  <c r="J24" i="1"/>
  <c r="J25" i="1"/>
  <c r="J27" i="1"/>
  <c r="J30" i="1"/>
  <c r="J32" i="1"/>
  <c r="J33" i="1"/>
  <c r="J35" i="1"/>
  <c r="H5" i="1"/>
  <c r="I5" i="1" s="1"/>
  <c r="H6" i="1"/>
  <c r="I6" i="1" s="1"/>
  <c r="K6" i="1" s="1"/>
  <c r="H7" i="1"/>
  <c r="I7" i="1" s="1"/>
  <c r="H8" i="1"/>
  <c r="I8" i="1" s="1"/>
  <c r="K8" i="1" s="1"/>
  <c r="H9" i="1"/>
  <c r="I9" i="1" s="1"/>
  <c r="K9" i="1" s="1"/>
  <c r="H10" i="1"/>
  <c r="I10" i="1" s="1"/>
  <c r="H11" i="1"/>
  <c r="I11" i="1" s="1"/>
  <c r="K11" i="1" s="1"/>
  <c r="H12" i="1"/>
  <c r="I12" i="1" s="1"/>
  <c r="H13" i="1"/>
  <c r="I13" i="1" s="1"/>
  <c r="H14" i="1"/>
  <c r="I14" i="1" s="1"/>
  <c r="K14" i="1" s="1"/>
  <c r="H15" i="1"/>
  <c r="I15" i="1" s="1"/>
  <c r="K15" i="1" s="1"/>
  <c r="H16" i="1"/>
  <c r="I16" i="1" s="1"/>
  <c r="H17" i="1"/>
  <c r="I17" i="1" s="1"/>
  <c r="K17" i="1" s="1"/>
  <c r="H18" i="1"/>
  <c r="I18" i="1" s="1"/>
  <c r="H19" i="1"/>
  <c r="I19" i="1" s="1"/>
  <c r="K19" i="1" s="1"/>
  <c r="H20" i="1"/>
  <c r="I20" i="1" s="1"/>
  <c r="H21" i="1"/>
  <c r="I21" i="1" s="1"/>
  <c r="H22" i="1"/>
  <c r="I22" i="1" s="1"/>
  <c r="K22" i="1" s="1"/>
  <c r="H23" i="1"/>
  <c r="I23" i="1" s="1"/>
  <c r="H24" i="1"/>
  <c r="I24" i="1" s="1"/>
  <c r="K24" i="1" s="1"/>
  <c r="H25" i="1"/>
  <c r="I25" i="1" s="1"/>
  <c r="K25" i="1" s="1"/>
  <c r="H26" i="1"/>
  <c r="I26" i="1" s="1"/>
  <c r="H27" i="1"/>
  <c r="I27" i="1" s="1"/>
  <c r="K27" i="1" s="1"/>
  <c r="H28" i="1"/>
  <c r="I28" i="1" s="1"/>
  <c r="H29" i="1"/>
  <c r="I29" i="1" s="1"/>
  <c r="H30" i="1"/>
  <c r="I30" i="1" s="1"/>
  <c r="K30" i="1" s="1"/>
  <c r="H31" i="1"/>
  <c r="I31" i="1" s="1"/>
  <c r="H32" i="1"/>
  <c r="I32" i="1" s="1"/>
  <c r="K32" i="1" s="1"/>
  <c r="H33" i="1"/>
  <c r="I33" i="1" s="1"/>
  <c r="K33" i="1" s="1"/>
  <c r="H34" i="1"/>
  <c r="I34" i="1" s="1"/>
  <c r="H35" i="1"/>
  <c r="I35" i="1" s="1"/>
  <c r="K35" i="1" s="1"/>
  <c r="H36" i="1"/>
  <c r="I36" i="1" s="1"/>
  <c r="J5" i="1" l="1"/>
  <c r="K5" i="1"/>
  <c r="L6" i="1"/>
  <c r="J7" i="1"/>
  <c r="K7" i="1" s="1"/>
  <c r="L8" i="1"/>
  <c r="M8" i="1"/>
  <c r="L9" i="1"/>
  <c r="M9" i="1" s="1"/>
  <c r="J10" i="1"/>
  <c r="K10" i="1" s="1"/>
  <c r="L11" i="1"/>
  <c r="M11" i="1"/>
  <c r="J12" i="1"/>
  <c r="K12" i="1" s="1"/>
  <c r="J13" i="1"/>
  <c r="K13" i="1" s="1"/>
  <c r="L14" i="1"/>
  <c r="M14" i="1"/>
  <c r="L15" i="1"/>
  <c r="M15" i="1" s="1"/>
  <c r="J16" i="1"/>
  <c r="K16" i="1"/>
  <c r="L17" i="1"/>
  <c r="M17" i="1"/>
  <c r="J18" i="1"/>
  <c r="K18" i="1" s="1"/>
  <c r="L19" i="1"/>
  <c r="M19" i="1"/>
  <c r="J20" i="1"/>
  <c r="K20" i="1" s="1"/>
  <c r="J21" i="1"/>
  <c r="K21" i="1" s="1"/>
  <c r="L22" i="1"/>
  <c r="M22" i="1"/>
  <c r="J23" i="1"/>
  <c r="K23" i="1" s="1"/>
  <c r="L24" i="1"/>
  <c r="M24" i="1" s="1"/>
  <c r="L25" i="1"/>
  <c r="M25" i="1" s="1"/>
  <c r="J26" i="1"/>
  <c r="K26" i="1"/>
  <c r="L27" i="1"/>
  <c r="M27" i="1" s="1"/>
  <c r="J28" i="1"/>
  <c r="K28" i="1"/>
  <c r="J29" i="1"/>
  <c r="K29" i="1"/>
  <c r="L30" i="1"/>
  <c r="M30" i="1"/>
  <c r="J31" i="1"/>
  <c r="K31" i="1" s="1"/>
  <c r="L32" i="1"/>
  <c r="M32" i="1"/>
  <c r="L33" i="1"/>
  <c r="M33" i="1"/>
  <c r="J34" i="1"/>
  <c r="K34" i="1" s="1"/>
  <c r="L35" i="1"/>
  <c r="M35" i="1"/>
  <c r="J36" i="1"/>
  <c r="K36" i="1" s="1"/>
  <c r="L5" i="1" l="1"/>
  <c r="L7" i="1"/>
  <c r="M7" i="1" s="1"/>
  <c r="L10" i="1"/>
  <c r="M10" i="1"/>
  <c r="L12" i="1"/>
  <c r="M12" i="1"/>
  <c r="L13" i="1"/>
  <c r="M13" i="1"/>
  <c r="L16" i="1"/>
  <c r="M16" i="1" s="1"/>
  <c r="L18" i="1"/>
  <c r="M18" i="1"/>
  <c r="L20" i="1"/>
  <c r="M20" i="1"/>
  <c r="L21" i="1"/>
  <c r="M21" i="1" s="1"/>
  <c r="L23" i="1"/>
  <c r="M23" i="1"/>
  <c r="M26" i="1"/>
  <c r="L26" i="1"/>
  <c r="L28" i="1"/>
  <c r="M28" i="1" s="1"/>
  <c r="M29" i="1"/>
  <c r="L29" i="1"/>
  <c r="L31" i="1"/>
  <c r="M31" i="1"/>
  <c r="L34" i="1"/>
  <c r="M34" i="1" s="1"/>
  <c r="L36" i="1"/>
  <c r="M36" i="1"/>
</calcChain>
</file>

<file path=xl/sharedStrings.xml><?xml version="1.0" encoding="utf-8"?>
<sst xmlns="http://schemas.openxmlformats.org/spreadsheetml/2006/main" count="159" uniqueCount="88">
  <si>
    <t>ACADEMIA TECNOCAMPUS — GESTIÓN DE MATRÍCULAS 2026</t>
  </si>
  <si>
    <t>IVA</t>
  </si>
  <si>
    <t>ID</t>
  </si>
  <si>
    <t>Alumno</t>
  </si>
  <si>
    <t>Curso</t>
  </si>
  <si>
    <t>Modalidad</t>
  </si>
  <si>
    <t>Horas</t>
  </si>
  <si>
    <t>Fecha Matrícula</t>
  </si>
  <si>
    <t>Nota Final</t>
  </si>
  <si>
    <t>Precio/Hora</t>
  </si>
  <si>
    <t>Importe Base</t>
  </si>
  <si>
    <t>Descuento</t>
  </si>
  <si>
    <t>Base con Dto.</t>
  </si>
  <si>
    <t>IVA (21%)</t>
  </si>
  <si>
    <t>Total</t>
  </si>
  <si>
    <t>Calificación</t>
  </si>
  <si>
    <t>Mes</t>
  </si>
  <si>
    <t>Código Matrícula</t>
  </si>
  <si>
    <t>Resumen</t>
  </si>
  <si>
    <t>Ranking</t>
  </si>
  <si>
    <t>Dto. Online</t>
  </si>
  <si>
    <t>Ana García</t>
  </si>
  <si>
    <t>Python</t>
  </si>
  <si>
    <t>Online</t>
  </si>
  <si>
    <t>Excel Avanzado</t>
  </si>
  <si>
    <t>Luis Martín</t>
  </si>
  <si>
    <t>Presencial</t>
  </si>
  <si>
    <t>Marta Ruiz</t>
  </si>
  <si>
    <t>Ciberseguridad</t>
  </si>
  <si>
    <t>Redes</t>
  </si>
  <si>
    <t>Pablo Ortega</t>
  </si>
  <si>
    <t>Lucía Navarro</t>
  </si>
  <si>
    <t>Hugo Castro</t>
  </si>
  <si>
    <t>FICHA DE CONSULTA</t>
  </si>
  <si>
    <t>Sara Molina</t>
  </si>
  <si>
    <t>ID buscado:</t>
  </si>
  <si>
    <t>Diego Herrera</t>
  </si>
  <si>
    <t>Alumno:</t>
  </si>
  <si>
    <t>Elena Campos</t>
  </si>
  <si>
    <t>Total:</t>
  </si>
  <si>
    <t>Iván Serrano</t>
  </si>
  <si>
    <t>ID buscado 2:</t>
  </si>
  <si>
    <t>Nuria Pardo</t>
  </si>
  <si>
    <t>Total 2:</t>
  </si>
  <si>
    <t>Mario Gallego</t>
  </si>
  <si>
    <t>Carla Medina</t>
  </si>
  <si>
    <t>Óscar Vidal</t>
  </si>
  <si>
    <t>Paula Ibáñez</t>
  </si>
  <si>
    <t>Sergio Cano</t>
  </si>
  <si>
    <t>Beatriz Rojas</t>
  </si>
  <si>
    <t>Tomás Aguilar</t>
  </si>
  <si>
    <t>Clara Domínguez</t>
  </si>
  <si>
    <t>Adrián Flores</t>
  </si>
  <si>
    <t>Rosa Márquez</t>
  </si>
  <si>
    <t>Javier Peña</t>
  </si>
  <si>
    <t>Alba Cortés</t>
  </si>
  <si>
    <t>Rubén Soler</t>
  </si>
  <si>
    <t>Silvia Bravo</t>
  </si>
  <si>
    <t>David Reyes</t>
  </si>
  <si>
    <t>Laura Vega</t>
  </si>
  <si>
    <t>Andrés Fuentes</t>
  </si>
  <si>
    <t>Irene Salas</t>
  </si>
  <si>
    <t>Jorge Blanco</t>
  </si>
  <si>
    <t>Cristina Lara</t>
  </si>
  <si>
    <t>Víctor Mena</t>
  </si>
  <si>
    <t>RESUMEN ESTADÍSTICO</t>
  </si>
  <si>
    <t>ANÁLISIS</t>
  </si>
  <si>
    <t>Horas (E)</t>
  </si>
  <si>
    <t>Total (M)</t>
  </si>
  <si>
    <t>RESUMEN POR CURSO</t>
  </si>
  <si>
    <t>MATRÍCULAS POR MES</t>
  </si>
  <si>
    <t>SUMA</t>
  </si>
  <si>
    <t>Nº matrículas de Python</t>
  </si>
  <si>
    <t>Nº Matrículas</t>
  </si>
  <si>
    <t>Ingresos Totales</t>
  </si>
  <si>
    <t>Nota Media</t>
  </si>
  <si>
    <t>PROMEDIO</t>
  </si>
  <si>
    <t>Nº matrículas Online</t>
  </si>
  <si>
    <t>MÁXIMO</t>
  </si>
  <si>
    <t>Nº Online de Ciberseguridad</t>
  </si>
  <si>
    <t>MÍNIMO</t>
  </si>
  <si>
    <t>Nº Presenciales aprobados (nota ≥ 5)</t>
  </si>
  <si>
    <t>CONTAR</t>
  </si>
  <si>
    <t>Ingresos (Total) del curso Python</t>
  </si>
  <si>
    <t>Horas contratadas en Online</t>
  </si>
  <si>
    <t>Ingresos Online de Ciberseguridad</t>
  </si>
  <si>
    <t>Nota media del curso Python</t>
  </si>
  <si>
    <t>% de matrículas Online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</si>
</sst>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4"/>
      <color rgb="FFFFFFFF"/>
      <name val="Calibri"/>
      <family val="2"/>
    </font>
    <font>
      <b/>
      <sz val="11"/>
      <name val="Calibri"/>
      <family val="2"/>
    </font>
    <font>
      <b/>
      <sz val="11"/>
      <color rgb="FFFFFFFF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23B5C"/>
      </patternFill>
    </fill>
    <fill>
      <patternFill patternType="solid">
        <fgColor rgb="FFC6EFCE"/>
      </patternFill>
    </fill>
    <fill>
      <patternFill patternType="solid">
        <fgColor rgb="FF1F4E78"/>
      </patternFill>
    </fill>
    <fill>
      <patternFill patternType="solid">
        <fgColor rgb="FF2F5B88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9AA7B4"/>
      </left>
      <right style="thin">
        <color rgb="FF9AA7B4"/>
      </right>
      <top style="thin">
        <color rgb="FF9AA7B4"/>
      </top>
      <bottom style="thin">
        <color rgb="FF9AA7B4"/>
      </bottom>
      <diagonal/>
    </border>
    <border>
      <left/>
      <right/>
      <top/>
      <bottom style="thin">
        <color rgb="FF9AA7B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0" xfId="0" applyFont="1"/>
    <xf numFmtId="9" fontId="0" fillId="3" borderId="1" xfId="0" applyNumberFormat="1" applyFill="1" applyBorder="1"/>
    <xf numFmtId="0" fontId="3" fillId="4" borderId="1" xfId="0" applyFont="1" applyFill="1" applyBorder="1" applyAlignment="1">
      <alignment horizontal="center" vertical="center"/>
    </xf>
    <xf numFmtId="0" fontId="0" fillId="3" borderId="1" xfId="0" applyFill="1" applyBorder="1"/>
    <xf numFmtId="14" fontId="0" fillId="3" borderId="1" xfId="0" applyNumberFormat="1" applyFill="1" applyBorder="1"/>
    <xf numFmtId="165" fontId="0" fillId="3" borderId="1" xfId="0" applyNumberFormat="1" applyFill="1" applyBorder="1"/>
    <xf numFmtId="166" fontId="0" fillId="3" borderId="1" xfId="0" applyNumberFormat="1" applyFill="1" applyBorder="1"/>
    <xf numFmtId="0" fontId="3" fillId="5" borderId="0" xfId="0" applyFont="1" applyFill="1"/>
    <xf numFmtId="0" fontId="2" fillId="0" borderId="1" xfId="0" applyFont="1" applyBorder="1"/>
    <xf numFmtId="0" fontId="0" fillId="0" borderId="1" xfId="0" applyBorder="1"/>
    <xf numFmtId="0" fontId="1" fillId="2" borderId="0" xfId="0" applyFont="1" applyFill="1" applyAlignment="1">
      <alignment horizontal="center" vertical="center"/>
    </xf>
    <xf numFmtId="0" fontId="0" fillId="0" borderId="0" xfId="0"/>
    <xf numFmtId="166" fontId="0" fillId="0" borderId="0" xfId="0" applyNumberFormat="1"/>
    <xf numFmtId="0" fontId="3" fillId="5" borderId="0" xfId="0" applyFont="1" applyFill="1" applyAlignment="1"/>
    <xf numFmtId="0" fontId="3" fillId="6" borderId="2" xfId="0" applyFont="1" applyFill="1" applyBorder="1" applyAlignment="1"/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2.xml"/><Relationship Id="rId7" Type="http://schemas.openxmlformats.org/officeDocument/2006/relationships/calcChain" Target="calcChain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50"/>
      <c:rotY val="0"/>
      <c:depthPercent val="100"/>
      <c:rAngAx val="0"/>
      <c:perspective val="6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1.1828521825951219E-2"/>
          <c:y val="5.7046910338599391E-2"/>
          <c:w val="0.9799825015253133"/>
          <c:h val="0.89439870712832326"/>
        </c:manualLayout>
      </c:layout>
      <c:pie3DChart>
        <c:varyColors val="1"/>
        <c:ser>
          <c:idx val="0"/>
          <c:order val="0"/>
          <c:tx>
            <c:strRef>
              <c:f>MATRICULAS!$N$41</c:f>
              <c:strCache>
                <c:ptCount val="1"/>
                <c:pt idx="0">
                  <c:v>Mes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1-8CF7-4204-893F-FEA4096363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3-8CF7-4204-893F-FEA4096363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5-8CF7-4204-893F-FEA4096363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7-8CF7-4204-893F-FEA4096363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MATRICULAS!$N$42:$N$45</c:f>
              <c:numCache>
                <c:formatCode>General</c:formatCode>
                <c:ptCount val="4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CF7-4204-893F-FEA409636349}"/>
            </c:ext>
          </c:extLst>
        </c:ser>
        <c:ser>
          <c:idx val="1"/>
          <c:order val="1"/>
          <c:tx>
            <c:strRef>
              <c:f>MATRICULAS!$O$41</c:f>
              <c:strCache>
                <c:ptCount val="1"/>
                <c:pt idx="0">
                  <c:v>Nº Matrículas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A-8CF7-4204-893F-FEA40963634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C-8CF7-4204-893F-FEA40963634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0E-8CF7-4204-893F-FEA40963634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88900" sx="102000" sy="102000" algn="ctr" rotWithShape="0">
                  <a:prstClr val="black">
                    <a:alpha val="20000"/>
                  </a:prstClr>
                </a:outerShdw>
              </a:effectLst>
              <a:scene3d>
                <a:camera prst="orthographicFront"/>
                <a:lightRig rig="threePt" dir="t"/>
              </a:scene3d>
              <a:sp3d prstMaterial="matte"/>
            </c:spPr>
            <c:extLst>
              <c:ext xmlns:c16="http://schemas.microsoft.com/office/drawing/2014/chart" uri="{C3380CC4-5D6E-409C-BE32-E72D297353CC}">
                <c16:uniqueId val="{00000010-8CF7-4204-893F-FEA409636349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val>
            <c:numRef>
              <c:f>MATRICULAS!$O$42:$O$45</c:f>
              <c:numCache>
                <c:formatCode>General</c:formatCode>
                <c:ptCount val="4"/>
                <c:pt idx="0">
                  <c:v>9</c:v>
                </c:pt>
                <c:pt idx="1">
                  <c:v>9</c:v>
                </c:pt>
                <c:pt idx="2">
                  <c:v>8</c:v>
                </c:pt>
                <c:pt idx="3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8CF7-4204-893F-FEA409636349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7200479044387263"/>
          <c:y val="0.96815244519880961"/>
          <c:w val="0.30148473382745172"/>
          <c:h val="2.3494140935246901E-2"/>
        </c:manualLayout>
      </c:layout>
      <c:overlay val="0"/>
      <c:spPr>
        <a:solidFill>
          <a:schemeClr val="lt1">
            <a:alpha val="78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pattFill prst="dkDnDiag">
      <a:fgClr>
        <a:schemeClr val="lt1">
          <a:lumMod val="95000"/>
        </a:schemeClr>
      </a:fgClr>
      <a:bgClr>
        <a:schemeClr val="lt1"/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MATRICULAS!$K$41</c:f>
              <c:strCache>
                <c:ptCount val="1"/>
                <c:pt idx="0">
                  <c:v>Ingresos Totales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MATRICULAS!$I$42:$I$45</c:f>
              <c:strCache>
                <c:ptCount val="4"/>
                <c:pt idx="0">
                  <c:v>Excel Avanzado</c:v>
                </c:pt>
                <c:pt idx="1">
                  <c:v>Python</c:v>
                </c:pt>
                <c:pt idx="2">
                  <c:v>Redes</c:v>
                </c:pt>
                <c:pt idx="3">
                  <c:v>Ciberseguridad</c:v>
                </c:pt>
              </c:strCache>
            </c:strRef>
          </c:cat>
          <c:val>
            <c:numRef>
              <c:f>MATRICULAS!$K$42:$K$45</c:f>
              <c:numCache>
                <c:formatCode>#,##0.00\ "€"</c:formatCode>
                <c:ptCount val="4"/>
                <c:pt idx="0">
                  <c:v>3455.7599999999998</c:v>
                </c:pt>
                <c:pt idx="1">
                  <c:v>5216.3100000000004</c:v>
                </c:pt>
                <c:pt idx="2">
                  <c:v>4243.47</c:v>
                </c:pt>
                <c:pt idx="3">
                  <c:v>6011.28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59-4D2D-94B3-3A0F2AE0EB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01726591"/>
        <c:axId val="909589295"/>
        <c:axId val="0"/>
      </c:bar3DChart>
      <c:catAx>
        <c:axId val="1001726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909589295"/>
        <c:crosses val="autoZero"/>
        <c:auto val="1"/>
        <c:lblAlgn val="ctr"/>
        <c:lblOffset val="100"/>
        <c:noMultiLvlLbl val="0"/>
      </c:catAx>
      <c:valAx>
        <c:axId val="9095892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00172659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1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>
            <a:lumMod val="95000"/>
          </a:schemeClr>
        </a:fgClr>
        <a:bgClr>
          <a:schemeClr val="lt1"/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317500" algn="ctr" rotWithShape="0">
          <a:prstClr val="black">
            <a:alpha val="25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88900" sx="102000" sy="102000" algn="ctr" rotWithShape="0">
          <a:prstClr val="black">
            <a:alpha val="20000"/>
          </a:prstClr>
        </a:outerShdw>
      </a:effectLst>
      <a:scene3d>
        <a:camera prst="orthographicFront"/>
        <a:lightRig rig="threePt" dir="t"/>
      </a:scene3d>
      <a:sp3d prstMaterial="matte"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noFill/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8000"/>
        </a:schemeClr>
      </a:solidFill>
    </cs:spPr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65000"/>
        <a:lumOff val="3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BC4698F-CBB4-434E-8CCB-CE08F93DF36F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59C713-2C34-47EB-AB97-6DD0007CAA13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3957788" cy="9122019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5F87B43-27FE-BD63-A779-48C49697E01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3957788" cy="9122019"/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3C022DD6-09A6-8BE4-B067-EC1A9AC2EFC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</sheetPr>
  <dimension ref="A1:V49"/>
  <sheetViews>
    <sheetView tabSelected="1" topLeftCell="E15" workbookViewId="0">
      <selection activeCell="I44" sqref="I44"/>
    </sheetView>
  </sheetViews>
  <sheetFormatPr baseColWidth="10" defaultColWidth="8.7265625" defaultRowHeight="14.5" x14ac:dyDescent="0.35"/>
  <cols>
    <col min="1" max="1" width="8.36328125" customWidth="1"/>
    <col min="2" max="2" width="17" customWidth="1"/>
    <col min="3" max="3" width="16" customWidth="1"/>
    <col min="4" max="4" width="12" customWidth="1"/>
    <col min="5" max="5" width="8" customWidth="1"/>
    <col min="6" max="6" width="15" customWidth="1"/>
    <col min="7" max="7" width="14.90625" customWidth="1"/>
    <col min="8" max="8" width="12" customWidth="1"/>
    <col min="9" max="9" width="13" customWidth="1"/>
    <col min="10" max="10" width="11" customWidth="1"/>
    <col min="11" max="11" width="13" customWidth="1"/>
    <col min="12" max="12" width="11" customWidth="1"/>
    <col min="13" max="13" width="12" customWidth="1"/>
    <col min="14" max="14" width="14" customWidth="1"/>
    <col min="15" max="15" width="6" customWidth="1"/>
    <col min="16" max="16" width="17" customWidth="1"/>
    <col min="17" max="17" width="46" customWidth="1"/>
    <col min="18" max="18" width="9" customWidth="1"/>
    <col min="19" max="19" width="3" customWidth="1"/>
    <col min="20" max="20" width="22" customWidth="1"/>
    <col min="21" max="21" width="13" customWidth="1"/>
    <col min="22" max="22" width="12" customWidth="1"/>
  </cols>
  <sheetData>
    <row r="1" spans="1:22" ht="18.5" x14ac:dyDescent="0.35">
      <c r="A1" s="11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</row>
    <row r="2" spans="1:22" x14ac:dyDescent="0.35">
      <c r="A2" s="1" t="s">
        <v>1</v>
      </c>
      <c r="B2" s="2">
        <v>0.21</v>
      </c>
    </row>
    <row r="4" spans="1:22" x14ac:dyDescent="0.3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  <c r="N4" s="3" t="s">
        <v>15</v>
      </c>
      <c r="O4" s="3" t="s">
        <v>16</v>
      </c>
      <c r="P4" s="3" t="s">
        <v>17</v>
      </c>
      <c r="Q4" s="3" t="s">
        <v>18</v>
      </c>
      <c r="R4" s="3" t="s">
        <v>19</v>
      </c>
      <c r="T4" s="3" t="s">
        <v>4</v>
      </c>
      <c r="U4" s="3" t="s">
        <v>9</v>
      </c>
      <c r="V4" s="3" t="s">
        <v>20</v>
      </c>
    </row>
    <row r="5" spans="1:22" x14ac:dyDescent="0.35">
      <c r="A5" s="4">
        <v>101</v>
      </c>
      <c r="B5" s="4" t="s">
        <v>21</v>
      </c>
      <c r="C5" s="4" t="s">
        <v>22</v>
      </c>
      <c r="D5" s="4" t="s">
        <v>23</v>
      </c>
      <c r="E5" s="4">
        <v>40</v>
      </c>
      <c r="F5" s="5">
        <v>46084</v>
      </c>
      <c r="G5" s="6">
        <v>8.4</v>
      </c>
      <c r="H5" s="13">
        <f>VLOOKUP(C5,$T$5:$V$8,2,FALSE)</f>
        <v>15</v>
      </c>
      <c r="I5" s="13">
        <f>E5*H5</f>
        <v>600</v>
      </c>
      <c r="J5" s="13">
        <f>IF(D5="Online",I5*VLOOKUP(C5,$T$5:$V$8,3,FALSE),0)</f>
        <v>60</v>
      </c>
      <c r="K5" s="13">
        <f>I5-J5</f>
        <v>540</v>
      </c>
      <c r="L5" s="13">
        <f>K5*$B$2</f>
        <v>113.39999999999999</v>
      </c>
      <c r="M5" s="13">
        <f t="shared" ref="M5:M36" si="0">K5+L5</f>
        <v>653.4</v>
      </c>
      <c r="N5" t="str">
        <f>IF(G5&gt;9,"SOBRESALIENTE",IF(G5&gt;=7,"NOTABLE",IF(G5&gt;=5,"APROBADO",N7)))</f>
        <v>NOTABLE</v>
      </c>
      <c r="O5">
        <f>MONTH(F5)</f>
        <v>3</v>
      </c>
      <c r="P5" t="str">
        <f>MID(UPPER(C5),1,LEFT(3))&amp;"-"&amp;A5&amp;"-"&amp;YEAR(F5)</f>
        <v>PYT-101-2026</v>
      </c>
      <c r="Q5" t="str">
        <f>B5&amp;" ha obtenido un "&amp;G5&amp;" en "&amp;C5</f>
        <v>Ana García ha obtenido un 8,4 en Python</v>
      </c>
      <c r="R5">
        <f>_xlfn.RANK.EQ(M5,$M$5:$M$36,0)</f>
        <v>12</v>
      </c>
      <c r="T5" s="4" t="s">
        <v>24</v>
      </c>
      <c r="U5" s="7">
        <v>12</v>
      </c>
      <c r="V5" s="2">
        <v>0.15</v>
      </c>
    </row>
    <row r="6" spans="1:22" x14ac:dyDescent="0.35">
      <c r="A6" s="4">
        <v>102</v>
      </c>
      <c r="B6" s="4" t="s">
        <v>25</v>
      </c>
      <c r="C6" s="4" t="s">
        <v>24</v>
      </c>
      <c r="D6" s="4" t="s">
        <v>26</v>
      </c>
      <c r="E6" s="4">
        <v>20</v>
      </c>
      <c r="F6" s="5">
        <v>46086</v>
      </c>
      <c r="G6" s="6">
        <v>6</v>
      </c>
      <c r="H6" s="13">
        <f t="shared" ref="H6:H36" si="1">VLOOKUP(C6,$T$5:$V$8,2,FALSE)</f>
        <v>12</v>
      </c>
      <c r="I6" s="13">
        <f t="shared" ref="I6:I36" si="2">E6*H6</f>
        <v>240</v>
      </c>
      <c r="J6" s="13">
        <f t="shared" ref="J6:J36" si="3">IF(D6="Online",I6*VLOOKUP(C6,$T$5:$V$8,3,FALSE),0)</f>
        <v>0</v>
      </c>
      <c r="K6" s="13">
        <f t="shared" ref="K6:K36" si="4">I6-J6</f>
        <v>240</v>
      </c>
      <c r="L6" s="13">
        <f t="shared" ref="L6:L36" si="5">K6*$B$2</f>
        <v>50.4</v>
      </c>
      <c r="M6" s="13">
        <f t="shared" si="0"/>
        <v>290.39999999999998</v>
      </c>
      <c r="N6" t="str">
        <f t="shared" ref="N6:N36" si="6">IF(G6&gt;9,"SOBRESALIENTE",IF(G6&gt;=7,"NOTABLE",IF(G6&gt;=5,"APROBADO",N8)))</f>
        <v>APROBADO</v>
      </c>
      <c r="O6">
        <f t="shared" ref="O6:O36" si="7">MONTH(F6)</f>
        <v>3</v>
      </c>
      <c r="P6" t="str">
        <f t="shared" ref="P6:P36" si="8">MID(UPPER(C6),1,LEFT(3))&amp;"-"&amp;A6&amp;"-"&amp;YEAR(F6)</f>
        <v>EXC-102-2026</v>
      </c>
      <c r="Q6" t="str">
        <f>B6&amp;" ha obtenido un "&amp;G6&amp;" en "&amp;C6</f>
        <v>Luis Martín ha obtenido un 6 en Excel Avanzado</v>
      </c>
      <c r="R6">
        <f t="shared" ref="R6:R36" si="9">_xlfn.RANK.EQ(M6,$M$5:$M$36,0)</f>
        <v>30</v>
      </c>
      <c r="T6" s="4" t="s">
        <v>22</v>
      </c>
      <c r="U6" s="7">
        <v>15</v>
      </c>
      <c r="V6" s="2">
        <v>0.1</v>
      </c>
    </row>
    <row r="7" spans="1:22" x14ac:dyDescent="0.35">
      <c r="A7" s="4">
        <v>103</v>
      </c>
      <c r="B7" s="4" t="s">
        <v>27</v>
      </c>
      <c r="C7" s="4" t="s">
        <v>28</v>
      </c>
      <c r="D7" s="4" t="s">
        <v>23</v>
      </c>
      <c r="E7" s="4">
        <v>30</v>
      </c>
      <c r="F7" s="5">
        <v>46090</v>
      </c>
      <c r="G7" s="6">
        <v>9.1999999999999993</v>
      </c>
      <c r="H7" s="13">
        <f t="shared" si="1"/>
        <v>18</v>
      </c>
      <c r="I7" s="13">
        <f t="shared" si="2"/>
        <v>540</v>
      </c>
      <c r="J7" s="13">
        <f t="shared" si="3"/>
        <v>108</v>
      </c>
      <c r="K7" s="13">
        <f t="shared" si="4"/>
        <v>432</v>
      </c>
      <c r="L7" s="13">
        <f t="shared" si="5"/>
        <v>90.72</v>
      </c>
      <c r="M7" s="13">
        <f t="shared" si="0"/>
        <v>522.72</v>
      </c>
      <c r="N7" t="str">
        <f t="shared" si="6"/>
        <v>SOBRESALIENTE</v>
      </c>
      <c r="O7">
        <f t="shared" si="7"/>
        <v>3</v>
      </c>
      <c r="P7" t="str">
        <f t="shared" si="8"/>
        <v>CIB-103-2026</v>
      </c>
      <c r="Q7" t="str">
        <f>B7&amp;" ha obtenido un "&amp;G7&amp;" en "&amp;C7</f>
        <v>Marta Ruiz ha obtenido un 9,2 en Ciberseguridad</v>
      </c>
      <c r="R7">
        <f t="shared" si="9"/>
        <v>18</v>
      </c>
      <c r="T7" s="4" t="s">
        <v>29</v>
      </c>
      <c r="U7" s="7">
        <v>14</v>
      </c>
      <c r="V7" s="2">
        <v>0.1</v>
      </c>
    </row>
    <row r="8" spans="1:22" x14ac:dyDescent="0.35">
      <c r="A8" s="4">
        <v>104</v>
      </c>
      <c r="B8" s="4" t="s">
        <v>30</v>
      </c>
      <c r="C8" s="4" t="s">
        <v>29</v>
      </c>
      <c r="D8" s="4" t="s">
        <v>26</v>
      </c>
      <c r="E8" s="4">
        <v>25</v>
      </c>
      <c r="F8" s="5">
        <v>46093</v>
      </c>
      <c r="G8" s="6">
        <v>4.5</v>
      </c>
      <c r="H8" s="13">
        <f t="shared" si="1"/>
        <v>14</v>
      </c>
      <c r="I8" s="13">
        <f t="shared" si="2"/>
        <v>350</v>
      </c>
      <c r="J8" s="13">
        <f t="shared" si="3"/>
        <v>0</v>
      </c>
      <c r="K8" s="13">
        <f t="shared" si="4"/>
        <v>350</v>
      </c>
      <c r="L8" s="13">
        <f t="shared" si="5"/>
        <v>73.5</v>
      </c>
      <c r="M8" s="13">
        <f t="shared" si="0"/>
        <v>423.5</v>
      </c>
      <c r="N8" t="str">
        <f t="shared" si="6"/>
        <v>APROBADO</v>
      </c>
      <c r="O8">
        <f t="shared" si="7"/>
        <v>3</v>
      </c>
      <c r="P8" t="str">
        <f t="shared" si="8"/>
        <v>RED-104-2026</v>
      </c>
      <c r="Q8" t="str">
        <f>B8&amp;" ha obtenido un "&amp;G8&amp;" en "&amp;C8</f>
        <v>Pablo Ortega ha obtenido un 4,5 en Redes</v>
      </c>
      <c r="R8">
        <f t="shared" si="9"/>
        <v>26</v>
      </c>
      <c r="T8" s="4" t="s">
        <v>28</v>
      </c>
      <c r="U8" s="7">
        <v>18</v>
      </c>
      <c r="V8" s="2">
        <v>0.2</v>
      </c>
    </row>
    <row r="9" spans="1:22" x14ac:dyDescent="0.35">
      <c r="A9" s="4">
        <v>105</v>
      </c>
      <c r="B9" s="4" t="s">
        <v>31</v>
      </c>
      <c r="C9" s="4" t="s">
        <v>22</v>
      </c>
      <c r="D9" s="4" t="s">
        <v>26</v>
      </c>
      <c r="E9" s="4">
        <v>35</v>
      </c>
      <c r="F9" s="5">
        <v>46097</v>
      </c>
      <c r="G9" s="6">
        <v>7.1</v>
      </c>
      <c r="H9" s="13">
        <f t="shared" si="1"/>
        <v>15</v>
      </c>
      <c r="I9" s="13">
        <f t="shared" si="2"/>
        <v>525</v>
      </c>
      <c r="J9" s="13">
        <f t="shared" si="3"/>
        <v>0</v>
      </c>
      <c r="K9" s="13">
        <f t="shared" si="4"/>
        <v>525</v>
      </c>
      <c r="L9" s="13">
        <f t="shared" si="5"/>
        <v>110.25</v>
      </c>
      <c r="M9" s="13">
        <f t="shared" si="0"/>
        <v>635.25</v>
      </c>
      <c r="N9" t="str">
        <f t="shared" si="6"/>
        <v>NOTABLE</v>
      </c>
      <c r="O9">
        <f t="shared" si="7"/>
        <v>3</v>
      </c>
      <c r="P9" t="str">
        <f t="shared" si="8"/>
        <v>PYT-105-2026</v>
      </c>
      <c r="Q9" t="str">
        <f>B9&amp;" ha obtenido un "&amp;G9&amp;" en "&amp;C9</f>
        <v>Lucía Navarro ha obtenido un 7,1 en Python</v>
      </c>
      <c r="R9">
        <f t="shared" si="9"/>
        <v>13</v>
      </c>
    </row>
    <row r="10" spans="1:22" x14ac:dyDescent="0.35">
      <c r="A10" s="4">
        <v>106</v>
      </c>
      <c r="B10" s="4" t="s">
        <v>32</v>
      </c>
      <c r="C10" s="4" t="s">
        <v>24</v>
      </c>
      <c r="D10" s="4" t="s">
        <v>23</v>
      </c>
      <c r="E10" s="4">
        <v>15</v>
      </c>
      <c r="F10" s="5">
        <v>46100</v>
      </c>
      <c r="G10" s="6">
        <v>5.5</v>
      </c>
      <c r="H10" s="13">
        <f t="shared" si="1"/>
        <v>12</v>
      </c>
      <c r="I10" s="13">
        <f t="shared" si="2"/>
        <v>180</v>
      </c>
      <c r="J10" s="13">
        <f t="shared" si="3"/>
        <v>27</v>
      </c>
      <c r="K10" s="13">
        <f t="shared" si="4"/>
        <v>153</v>
      </c>
      <c r="L10" s="13">
        <f t="shared" si="5"/>
        <v>32.129999999999995</v>
      </c>
      <c r="M10" s="13">
        <f t="shared" si="0"/>
        <v>185.13</v>
      </c>
      <c r="N10" t="str">
        <f t="shared" si="6"/>
        <v>APROBADO</v>
      </c>
      <c r="O10">
        <f t="shared" si="7"/>
        <v>3</v>
      </c>
      <c r="P10" t="str">
        <f t="shared" si="8"/>
        <v>EXC-106-2026</v>
      </c>
      <c r="Q10" t="str">
        <f>B10&amp;" ha obtenido un "&amp;G10&amp;" en "&amp;C10</f>
        <v>Hugo Castro ha obtenido un 5,5 en Excel Avanzado</v>
      </c>
      <c r="R10">
        <f t="shared" si="9"/>
        <v>32</v>
      </c>
      <c r="T10" s="8" t="s">
        <v>33</v>
      </c>
    </row>
    <row r="11" spans="1:22" x14ac:dyDescent="0.35">
      <c r="A11" s="4">
        <v>107</v>
      </c>
      <c r="B11" s="4" t="s">
        <v>34</v>
      </c>
      <c r="C11" s="4" t="s">
        <v>28</v>
      </c>
      <c r="D11" s="4" t="s">
        <v>26</v>
      </c>
      <c r="E11" s="4">
        <v>45</v>
      </c>
      <c r="F11" s="5">
        <v>46104</v>
      </c>
      <c r="G11" s="6">
        <v>8.9</v>
      </c>
      <c r="H11" s="13">
        <f t="shared" si="1"/>
        <v>18</v>
      </c>
      <c r="I11" s="13">
        <f t="shared" si="2"/>
        <v>810</v>
      </c>
      <c r="J11" s="13">
        <f t="shared" si="3"/>
        <v>0</v>
      </c>
      <c r="K11" s="13">
        <f t="shared" si="4"/>
        <v>810</v>
      </c>
      <c r="L11" s="13">
        <f t="shared" si="5"/>
        <v>170.1</v>
      </c>
      <c r="M11" s="13">
        <f t="shared" si="0"/>
        <v>980.1</v>
      </c>
      <c r="N11" t="str">
        <f t="shared" si="6"/>
        <v>NOTABLE</v>
      </c>
      <c r="O11">
        <f t="shared" si="7"/>
        <v>3</v>
      </c>
      <c r="P11" t="str">
        <f t="shared" si="8"/>
        <v>CIB-107-2026</v>
      </c>
      <c r="Q11" t="str">
        <f>B11&amp;" ha obtenido un "&amp;G11&amp;" en "&amp;C11</f>
        <v>Sara Molina ha obtenido un 8,9 en Ciberseguridad</v>
      </c>
      <c r="R11">
        <f t="shared" si="9"/>
        <v>3</v>
      </c>
      <c r="T11" t="s">
        <v>35</v>
      </c>
      <c r="U11" s="4">
        <v>115</v>
      </c>
    </row>
    <row r="12" spans="1:22" x14ac:dyDescent="0.35">
      <c r="A12" s="4">
        <v>108</v>
      </c>
      <c r="B12" s="4" t="s">
        <v>36</v>
      </c>
      <c r="C12" s="4" t="s">
        <v>29</v>
      </c>
      <c r="D12" s="4" t="s">
        <v>23</v>
      </c>
      <c r="E12" s="4">
        <v>30</v>
      </c>
      <c r="F12" s="5">
        <v>46107</v>
      </c>
      <c r="G12" s="6">
        <v>3.8</v>
      </c>
      <c r="H12" s="13">
        <f t="shared" si="1"/>
        <v>14</v>
      </c>
      <c r="I12" s="13">
        <f t="shared" si="2"/>
        <v>420</v>
      </c>
      <c r="J12" s="13">
        <f t="shared" si="3"/>
        <v>42</v>
      </c>
      <c r="K12" s="13">
        <f t="shared" si="4"/>
        <v>378</v>
      </c>
      <c r="L12" s="13">
        <f t="shared" si="5"/>
        <v>79.38</v>
      </c>
      <c r="M12" s="13">
        <f t="shared" si="0"/>
        <v>457.38</v>
      </c>
      <c r="N12" t="str">
        <f t="shared" si="6"/>
        <v>APROBADO</v>
      </c>
      <c r="O12">
        <f t="shared" si="7"/>
        <v>3</v>
      </c>
      <c r="P12" t="str">
        <f t="shared" si="8"/>
        <v>RED-108-2026</v>
      </c>
      <c r="Q12" t="str">
        <f>B12&amp;" ha obtenido un "&amp;G12&amp;" en "&amp;C12</f>
        <v>Diego Herrera ha obtenido un 3,8 en Redes</v>
      </c>
      <c r="R12">
        <f t="shared" si="9"/>
        <v>22</v>
      </c>
      <c r="T12" t="s">
        <v>37</v>
      </c>
      <c r="U12" t="str">
        <f>IFERROR(VLOOKUP($U$11,$A$5:$M$36,2,FALSE),"NO EXISTE ESE ID")</f>
        <v>Paula Ibáñez</v>
      </c>
    </row>
    <row r="13" spans="1:22" x14ac:dyDescent="0.35">
      <c r="A13" s="4">
        <v>109</v>
      </c>
      <c r="B13" s="4" t="s">
        <v>38</v>
      </c>
      <c r="C13" s="4" t="s">
        <v>22</v>
      </c>
      <c r="D13" s="4" t="s">
        <v>23</v>
      </c>
      <c r="E13" s="4">
        <v>50</v>
      </c>
      <c r="F13" s="5">
        <v>46111</v>
      </c>
      <c r="G13" s="6">
        <v>9.6</v>
      </c>
      <c r="H13" s="13">
        <f t="shared" si="1"/>
        <v>15</v>
      </c>
      <c r="I13" s="13">
        <f t="shared" si="2"/>
        <v>750</v>
      </c>
      <c r="J13" s="13">
        <f t="shared" si="3"/>
        <v>75</v>
      </c>
      <c r="K13" s="13">
        <f t="shared" si="4"/>
        <v>675</v>
      </c>
      <c r="L13" s="13">
        <f t="shared" si="5"/>
        <v>141.75</v>
      </c>
      <c r="M13" s="13">
        <f t="shared" si="0"/>
        <v>816.75</v>
      </c>
      <c r="N13" t="str">
        <f t="shared" si="6"/>
        <v>SOBRESALIENTE</v>
      </c>
      <c r="O13">
        <f t="shared" si="7"/>
        <v>3</v>
      </c>
      <c r="P13" t="str">
        <f t="shared" si="8"/>
        <v>PYT-109-2026</v>
      </c>
      <c r="Q13" t="str">
        <f>B13&amp;" ha obtenido un "&amp;G13&amp;" en "&amp;C13</f>
        <v>Elena Campos ha obtenido un 9,6 en Python</v>
      </c>
      <c r="R13">
        <f t="shared" si="9"/>
        <v>7</v>
      </c>
      <c r="T13" t="s">
        <v>39</v>
      </c>
      <c r="U13">
        <f>IFERROR(VLOOKUP($U$11,$A$5:$M$36,13,FALSE),"NO EXISTE ESE ID")</f>
        <v>762.3</v>
      </c>
    </row>
    <row r="14" spans="1:22" x14ac:dyDescent="0.35">
      <c r="A14" s="4">
        <v>110</v>
      </c>
      <c r="B14" s="4" t="s">
        <v>40</v>
      </c>
      <c r="C14" s="4" t="s">
        <v>24</v>
      </c>
      <c r="D14" s="4" t="s">
        <v>26</v>
      </c>
      <c r="E14" s="4">
        <v>25</v>
      </c>
      <c r="F14" s="5">
        <v>46114</v>
      </c>
      <c r="G14" s="6">
        <v>6.7</v>
      </c>
      <c r="H14" s="13">
        <f t="shared" si="1"/>
        <v>12</v>
      </c>
      <c r="I14" s="13">
        <f t="shared" si="2"/>
        <v>300</v>
      </c>
      <c r="J14" s="13">
        <f t="shared" si="3"/>
        <v>0</v>
      </c>
      <c r="K14" s="13">
        <f t="shared" si="4"/>
        <v>300</v>
      </c>
      <c r="L14" s="13">
        <f t="shared" si="5"/>
        <v>63</v>
      </c>
      <c r="M14" s="13">
        <f t="shared" si="0"/>
        <v>363</v>
      </c>
      <c r="N14" t="str">
        <f t="shared" si="6"/>
        <v>APROBADO</v>
      </c>
      <c r="O14">
        <f t="shared" si="7"/>
        <v>4</v>
      </c>
      <c r="P14" t="str">
        <f t="shared" si="8"/>
        <v>EXC-110-2026</v>
      </c>
      <c r="Q14" t="str">
        <f>B14&amp;" ha obtenido un "&amp;G14&amp;" en "&amp;C14</f>
        <v>Iván Serrano ha obtenido un 6,7 en Excel Avanzado</v>
      </c>
      <c r="R14">
        <f t="shared" si="9"/>
        <v>27</v>
      </c>
      <c r="T14" t="s">
        <v>41</v>
      </c>
      <c r="U14" s="4">
        <v>999</v>
      </c>
    </row>
    <row r="15" spans="1:22" x14ac:dyDescent="0.35">
      <c r="A15" s="4">
        <v>111</v>
      </c>
      <c r="B15" s="4" t="s">
        <v>42</v>
      </c>
      <c r="C15" s="4" t="s">
        <v>29</v>
      </c>
      <c r="D15" s="4" t="s">
        <v>26</v>
      </c>
      <c r="E15" s="4">
        <v>20</v>
      </c>
      <c r="F15" s="5">
        <v>46119</v>
      </c>
      <c r="G15" s="6">
        <v>5</v>
      </c>
      <c r="H15" s="13">
        <f t="shared" si="1"/>
        <v>14</v>
      </c>
      <c r="I15" s="13">
        <f t="shared" si="2"/>
        <v>280</v>
      </c>
      <c r="J15" s="13">
        <f t="shared" si="3"/>
        <v>0</v>
      </c>
      <c r="K15" s="13">
        <f t="shared" si="4"/>
        <v>280</v>
      </c>
      <c r="L15" s="13">
        <f t="shared" si="5"/>
        <v>58.8</v>
      </c>
      <c r="M15" s="13">
        <f t="shared" si="0"/>
        <v>338.8</v>
      </c>
      <c r="N15" t="str">
        <f t="shared" si="6"/>
        <v>APROBADO</v>
      </c>
      <c r="O15">
        <f t="shared" si="7"/>
        <v>4</v>
      </c>
      <c r="P15" t="str">
        <f t="shared" si="8"/>
        <v>RED-111-2026</v>
      </c>
      <c r="Q15" t="str">
        <f>B15&amp;" ha obtenido un "&amp;G15&amp;" en "&amp;C15</f>
        <v>Nuria Pardo ha obtenido un 5 en Redes</v>
      </c>
      <c r="R15">
        <f t="shared" si="9"/>
        <v>28</v>
      </c>
      <c r="T15" t="s">
        <v>43</v>
      </c>
      <c r="U15" t="str">
        <f>IFERROR(VLOOKUP($U$13,$A$5:$M$36,13,FALSE),"NO EXISTE ESE ID")</f>
        <v>NO EXISTE ESE ID</v>
      </c>
    </row>
    <row r="16" spans="1:22" x14ac:dyDescent="0.35">
      <c r="A16" s="4">
        <v>112</v>
      </c>
      <c r="B16" s="4" t="s">
        <v>44</v>
      </c>
      <c r="C16" s="4" t="s">
        <v>28</v>
      </c>
      <c r="D16" s="4" t="s">
        <v>23</v>
      </c>
      <c r="E16" s="4">
        <v>60</v>
      </c>
      <c r="F16" s="5">
        <v>46121</v>
      </c>
      <c r="G16" s="6">
        <v>7.8</v>
      </c>
      <c r="H16" s="13">
        <f t="shared" si="1"/>
        <v>18</v>
      </c>
      <c r="I16" s="13">
        <f t="shared" si="2"/>
        <v>1080</v>
      </c>
      <c r="J16" s="13">
        <f t="shared" si="3"/>
        <v>216</v>
      </c>
      <c r="K16" s="13">
        <f t="shared" si="4"/>
        <v>864</v>
      </c>
      <c r="L16" s="13">
        <f t="shared" si="5"/>
        <v>181.44</v>
      </c>
      <c r="M16" s="13">
        <f t="shared" si="0"/>
        <v>1045.44</v>
      </c>
      <c r="N16" t="str">
        <f t="shared" si="6"/>
        <v>NOTABLE</v>
      </c>
      <c r="O16">
        <f t="shared" si="7"/>
        <v>4</v>
      </c>
      <c r="P16" t="str">
        <f t="shared" si="8"/>
        <v>CIB-112-2026</v>
      </c>
      <c r="Q16" t="str">
        <f>B16&amp;" ha obtenido un "&amp;G16&amp;" en "&amp;C16</f>
        <v>Mario Gallego ha obtenido un 7,8 en Ciberseguridad</v>
      </c>
      <c r="R16">
        <f t="shared" si="9"/>
        <v>2</v>
      </c>
    </row>
    <row r="17" spans="1:18" x14ac:dyDescent="0.35">
      <c r="A17" s="4">
        <v>113</v>
      </c>
      <c r="B17" s="4" t="s">
        <v>45</v>
      </c>
      <c r="C17" s="4" t="s">
        <v>22</v>
      </c>
      <c r="D17" s="4" t="s">
        <v>26</v>
      </c>
      <c r="E17" s="4">
        <v>30</v>
      </c>
      <c r="F17" s="5">
        <v>46125</v>
      </c>
      <c r="G17" s="6">
        <v>2.9</v>
      </c>
      <c r="H17" s="13">
        <f t="shared" si="1"/>
        <v>15</v>
      </c>
      <c r="I17" s="13">
        <f t="shared" si="2"/>
        <v>450</v>
      </c>
      <c r="J17" s="13">
        <f t="shared" si="3"/>
        <v>0</v>
      </c>
      <c r="K17" s="13">
        <f t="shared" si="4"/>
        <v>450</v>
      </c>
      <c r="L17" s="13">
        <f t="shared" si="5"/>
        <v>94.5</v>
      </c>
      <c r="M17" s="13">
        <f t="shared" si="0"/>
        <v>544.5</v>
      </c>
      <c r="N17" t="str">
        <f t="shared" si="6"/>
        <v>APROBADO</v>
      </c>
      <c r="O17">
        <f t="shared" si="7"/>
        <v>4</v>
      </c>
      <c r="P17" t="str">
        <f t="shared" si="8"/>
        <v>PYT-113-2026</v>
      </c>
      <c r="Q17" t="str">
        <f>B17&amp;" ha obtenido un "&amp;G17&amp;" en "&amp;C17</f>
        <v>Carla Medina ha obtenido un 2,9 en Python</v>
      </c>
      <c r="R17">
        <f t="shared" si="9"/>
        <v>17</v>
      </c>
    </row>
    <row r="18" spans="1:18" x14ac:dyDescent="0.35">
      <c r="A18" s="4">
        <v>114</v>
      </c>
      <c r="B18" s="4" t="s">
        <v>46</v>
      </c>
      <c r="C18" s="4" t="s">
        <v>24</v>
      </c>
      <c r="D18" s="4" t="s">
        <v>23</v>
      </c>
      <c r="E18" s="4">
        <v>40</v>
      </c>
      <c r="F18" s="5">
        <v>46128</v>
      </c>
      <c r="G18" s="6">
        <v>8.1</v>
      </c>
      <c r="H18" s="13">
        <f t="shared" si="1"/>
        <v>12</v>
      </c>
      <c r="I18" s="13">
        <f t="shared" si="2"/>
        <v>480</v>
      </c>
      <c r="J18" s="13">
        <f t="shared" si="3"/>
        <v>72</v>
      </c>
      <c r="K18" s="13">
        <f t="shared" si="4"/>
        <v>408</v>
      </c>
      <c r="L18" s="13">
        <f t="shared" si="5"/>
        <v>85.679999999999993</v>
      </c>
      <c r="M18" s="13">
        <f t="shared" si="0"/>
        <v>493.68</v>
      </c>
      <c r="N18" t="str">
        <f t="shared" si="6"/>
        <v>NOTABLE</v>
      </c>
      <c r="O18">
        <f t="shared" si="7"/>
        <v>4</v>
      </c>
      <c r="P18" t="str">
        <f t="shared" si="8"/>
        <v>EXC-114-2026</v>
      </c>
      <c r="Q18" t="str">
        <f>B18&amp;" ha obtenido un "&amp;G18&amp;" en "&amp;C18</f>
        <v>Óscar Vidal ha obtenido un 8,1 en Excel Avanzado</v>
      </c>
      <c r="R18">
        <f t="shared" si="9"/>
        <v>19</v>
      </c>
    </row>
    <row r="19" spans="1:18" x14ac:dyDescent="0.35">
      <c r="A19" s="4">
        <v>115</v>
      </c>
      <c r="B19" s="4" t="s">
        <v>47</v>
      </c>
      <c r="C19" s="4" t="s">
        <v>28</v>
      </c>
      <c r="D19" s="4" t="s">
        <v>26</v>
      </c>
      <c r="E19" s="4">
        <v>35</v>
      </c>
      <c r="F19" s="5">
        <v>46132</v>
      </c>
      <c r="G19" s="6">
        <v>6.3</v>
      </c>
      <c r="H19" s="13">
        <f t="shared" si="1"/>
        <v>18</v>
      </c>
      <c r="I19" s="13">
        <f t="shared" si="2"/>
        <v>630</v>
      </c>
      <c r="J19" s="13">
        <f t="shared" si="3"/>
        <v>0</v>
      </c>
      <c r="K19" s="13">
        <f t="shared" si="4"/>
        <v>630</v>
      </c>
      <c r="L19" s="13">
        <f t="shared" si="5"/>
        <v>132.29999999999998</v>
      </c>
      <c r="M19" s="13">
        <f t="shared" si="0"/>
        <v>762.3</v>
      </c>
      <c r="N19" t="str">
        <f t="shared" si="6"/>
        <v>APROBADO</v>
      </c>
      <c r="O19">
        <f t="shared" si="7"/>
        <v>4</v>
      </c>
      <c r="P19" t="str">
        <f t="shared" si="8"/>
        <v>CIB-115-2026</v>
      </c>
      <c r="Q19" t="str">
        <f>B19&amp;" ha obtenido un "&amp;G19&amp;" en "&amp;C19</f>
        <v>Paula Ibáñez ha obtenido un 6,3 en Ciberseguridad</v>
      </c>
      <c r="R19">
        <f t="shared" si="9"/>
        <v>8</v>
      </c>
    </row>
    <row r="20" spans="1:18" x14ac:dyDescent="0.35">
      <c r="A20" s="4">
        <v>116</v>
      </c>
      <c r="B20" s="4" t="s">
        <v>48</v>
      </c>
      <c r="C20" s="4" t="s">
        <v>29</v>
      </c>
      <c r="D20" s="4" t="s">
        <v>23</v>
      </c>
      <c r="E20" s="4">
        <v>45</v>
      </c>
      <c r="F20" s="5">
        <v>46135</v>
      </c>
      <c r="G20" s="6">
        <v>7.4</v>
      </c>
      <c r="H20" s="13">
        <f t="shared" si="1"/>
        <v>14</v>
      </c>
      <c r="I20" s="13">
        <f t="shared" si="2"/>
        <v>630</v>
      </c>
      <c r="J20" s="13">
        <f t="shared" si="3"/>
        <v>63</v>
      </c>
      <c r="K20" s="13">
        <f t="shared" si="4"/>
        <v>567</v>
      </c>
      <c r="L20" s="13">
        <f t="shared" si="5"/>
        <v>119.07</v>
      </c>
      <c r="M20" s="13">
        <f t="shared" si="0"/>
        <v>686.06999999999994</v>
      </c>
      <c r="N20" t="str">
        <f t="shared" si="6"/>
        <v>NOTABLE</v>
      </c>
      <c r="O20">
        <f t="shared" si="7"/>
        <v>4</v>
      </c>
      <c r="P20" t="str">
        <f t="shared" si="8"/>
        <v>RED-116-2026</v>
      </c>
      <c r="Q20" t="str">
        <f>B20&amp;" ha obtenido un "&amp;G20&amp;" en "&amp;C20</f>
        <v>Sergio Cano ha obtenido un 7,4 en Redes</v>
      </c>
      <c r="R20">
        <f t="shared" si="9"/>
        <v>10</v>
      </c>
    </row>
    <row r="21" spans="1:18" x14ac:dyDescent="0.35">
      <c r="A21" s="4">
        <v>117</v>
      </c>
      <c r="B21" s="4" t="s">
        <v>49</v>
      </c>
      <c r="C21" s="4" t="s">
        <v>22</v>
      </c>
      <c r="D21" s="4" t="s">
        <v>23</v>
      </c>
      <c r="E21" s="4">
        <v>20</v>
      </c>
      <c r="F21" s="5">
        <v>46139</v>
      </c>
      <c r="G21" s="6">
        <v>5.8</v>
      </c>
      <c r="H21" s="13">
        <f t="shared" si="1"/>
        <v>15</v>
      </c>
      <c r="I21" s="13">
        <f t="shared" si="2"/>
        <v>300</v>
      </c>
      <c r="J21" s="13">
        <f t="shared" si="3"/>
        <v>30</v>
      </c>
      <c r="K21" s="13">
        <f t="shared" si="4"/>
        <v>270</v>
      </c>
      <c r="L21" s="13">
        <f t="shared" si="5"/>
        <v>56.699999999999996</v>
      </c>
      <c r="M21" s="13">
        <f t="shared" si="0"/>
        <v>326.7</v>
      </c>
      <c r="N21" t="str">
        <f t="shared" si="6"/>
        <v>APROBADO</v>
      </c>
      <c r="O21">
        <f t="shared" si="7"/>
        <v>4</v>
      </c>
      <c r="P21" t="str">
        <f t="shared" si="8"/>
        <v>PYT-117-2026</v>
      </c>
      <c r="Q21" t="str">
        <f>B21&amp;" ha obtenido un "&amp;G21&amp;" en "&amp;C21</f>
        <v>Beatriz Rojas ha obtenido un 5,8 en Python</v>
      </c>
      <c r="R21">
        <f t="shared" si="9"/>
        <v>29</v>
      </c>
    </row>
    <row r="22" spans="1:18" x14ac:dyDescent="0.35">
      <c r="A22" s="4">
        <v>118</v>
      </c>
      <c r="B22" s="4" t="s">
        <v>50</v>
      </c>
      <c r="C22" s="4" t="s">
        <v>24</v>
      </c>
      <c r="D22" s="4" t="s">
        <v>26</v>
      </c>
      <c r="E22" s="4">
        <v>32</v>
      </c>
      <c r="F22" s="5">
        <v>46142</v>
      </c>
      <c r="G22" s="6">
        <v>9</v>
      </c>
      <c r="H22" s="13">
        <f t="shared" si="1"/>
        <v>12</v>
      </c>
      <c r="I22" s="13">
        <f t="shared" si="2"/>
        <v>384</v>
      </c>
      <c r="J22" s="13">
        <f t="shared" si="3"/>
        <v>0</v>
      </c>
      <c r="K22" s="13">
        <f t="shared" si="4"/>
        <v>384</v>
      </c>
      <c r="L22" s="13">
        <f t="shared" si="5"/>
        <v>80.64</v>
      </c>
      <c r="M22" s="13">
        <f t="shared" si="0"/>
        <v>464.64</v>
      </c>
      <c r="N22" t="str">
        <f t="shared" si="6"/>
        <v>NOTABLE</v>
      </c>
      <c r="O22">
        <f t="shared" si="7"/>
        <v>4</v>
      </c>
      <c r="P22" t="str">
        <f t="shared" si="8"/>
        <v>EXC-118-2026</v>
      </c>
      <c r="Q22" t="str">
        <f>B22&amp;" ha obtenido un "&amp;G22&amp;" en "&amp;C22</f>
        <v>Tomás Aguilar ha obtenido un 9 en Excel Avanzado</v>
      </c>
      <c r="R22">
        <f t="shared" si="9"/>
        <v>21</v>
      </c>
    </row>
    <row r="23" spans="1:18" x14ac:dyDescent="0.35">
      <c r="A23" s="4">
        <v>119</v>
      </c>
      <c r="B23" s="4" t="s">
        <v>51</v>
      </c>
      <c r="C23" s="4" t="s">
        <v>28</v>
      </c>
      <c r="D23" s="4" t="s">
        <v>23</v>
      </c>
      <c r="E23" s="4">
        <v>25</v>
      </c>
      <c r="F23" s="5">
        <v>46146</v>
      </c>
      <c r="G23" s="6">
        <v>4.2</v>
      </c>
      <c r="H23" s="13">
        <f t="shared" si="1"/>
        <v>18</v>
      </c>
      <c r="I23" s="13">
        <f t="shared" si="2"/>
        <v>450</v>
      </c>
      <c r="J23" s="13">
        <f t="shared" si="3"/>
        <v>90</v>
      </c>
      <c r="K23" s="13">
        <f t="shared" si="4"/>
        <v>360</v>
      </c>
      <c r="L23" s="13">
        <f t="shared" si="5"/>
        <v>75.599999999999994</v>
      </c>
      <c r="M23" s="13">
        <f t="shared" si="0"/>
        <v>435.6</v>
      </c>
      <c r="N23" t="str">
        <f t="shared" si="6"/>
        <v>NOTABLE</v>
      </c>
      <c r="O23">
        <f t="shared" si="7"/>
        <v>5</v>
      </c>
      <c r="P23" t="str">
        <f t="shared" si="8"/>
        <v>CIB-119-2026</v>
      </c>
      <c r="Q23" t="str">
        <f>B23&amp;" ha obtenido un "&amp;G23&amp;" en "&amp;C23</f>
        <v>Clara Domínguez ha obtenido un 4,2 en Ciberseguridad</v>
      </c>
      <c r="R23">
        <f t="shared" si="9"/>
        <v>24</v>
      </c>
    </row>
    <row r="24" spans="1:18" x14ac:dyDescent="0.35">
      <c r="A24" s="4">
        <v>120</v>
      </c>
      <c r="B24" s="4" t="s">
        <v>52</v>
      </c>
      <c r="C24" s="4" t="s">
        <v>29</v>
      </c>
      <c r="D24" s="4" t="s">
        <v>26</v>
      </c>
      <c r="E24" s="4">
        <v>40</v>
      </c>
      <c r="F24" s="5">
        <v>46149</v>
      </c>
      <c r="G24" s="6">
        <v>6.9</v>
      </c>
      <c r="H24" s="13">
        <f t="shared" si="1"/>
        <v>14</v>
      </c>
      <c r="I24" s="13">
        <f t="shared" si="2"/>
        <v>560</v>
      </c>
      <c r="J24" s="13">
        <f t="shared" si="3"/>
        <v>0</v>
      </c>
      <c r="K24" s="13">
        <f t="shared" si="4"/>
        <v>560</v>
      </c>
      <c r="L24" s="13">
        <f t="shared" si="5"/>
        <v>117.6</v>
      </c>
      <c r="M24" s="13">
        <f t="shared" si="0"/>
        <v>677.6</v>
      </c>
      <c r="N24" t="str">
        <f t="shared" si="6"/>
        <v>APROBADO</v>
      </c>
      <c r="O24">
        <f t="shared" si="7"/>
        <v>5</v>
      </c>
      <c r="P24" t="str">
        <f t="shared" si="8"/>
        <v>RED-120-2026</v>
      </c>
      <c r="Q24" t="str">
        <f>B24&amp;" ha obtenido un "&amp;G24&amp;" en "&amp;C24</f>
        <v>Adrián Flores ha obtenido un 6,9 en Redes</v>
      </c>
      <c r="R24">
        <f t="shared" si="9"/>
        <v>11</v>
      </c>
    </row>
    <row r="25" spans="1:18" x14ac:dyDescent="0.35">
      <c r="A25" s="4">
        <v>121</v>
      </c>
      <c r="B25" s="4" t="s">
        <v>53</v>
      </c>
      <c r="C25" s="4" t="s">
        <v>22</v>
      </c>
      <c r="D25" s="4" t="s">
        <v>26</v>
      </c>
      <c r="E25" s="4">
        <v>48</v>
      </c>
      <c r="F25" s="5">
        <v>46153</v>
      </c>
      <c r="G25" s="6">
        <v>8.6999999999999993</v>
      </c>
      <c r="H25" s="13">
        <f t="shared" si="1"/>
        <v>15</v>
      </c>
      <c r="I25" s="13">
        <f t="shared" si="2"/>
        <v>720</v>
      </c>
      <c r="J25" s="13">
        <f t="shared" si="3"/>
        <v>0</v>
      </c>
      <c r="K25" s="13">
        <f t="shared" si="4"/>
        <v>720</v>
      </c>
      <c r="L25" s="13">
        <f t="shared" si="5"/>
        <v>151.19999999999999</v>
      </c>
      <c r="M25" s="13">
        <f t="shared" si="0"/>
        <v>871.2</v>
      </c>
      <c r="N25" t="str">
        <f t="shared" si="6"/>
        <v>NOTABLE</v>
      </c>
      <c r="O25">
        <f t="shared" si="7"/>
        <v>5</v>
      </c>
      <c r="P25" t="str">
        <f t="shared" si="8"/>
        <v>PYT-121-2026</v>
      </c>
      <c r="Q25" t="str">
        <f>B25&amp;" ha obtenido un "&amp;G25&amp;" en "&amp;C25</f>
        <v>Rosa Márquez ha obtenido un 8,7 en Python</v>
      </c>
      <c r="R25">
        <f t="shared" si="9"/>
        <v>5</v>
      </c>
    </row>
    <row r="26" spans="1:18" x14ac:dyDescent="0.35">
      <c r="A26" s="4">
        <v>122</v>
      </c>
      <c r="B26" s="4" t="s">
        <v>54</v>
      </c>
      <c r="C26" s="4" t="s">
        <v>24</v>
      </c>
      <c r="D26" s="4" t="s">
        <v>23</v>
      </c>
      <c r="E26" s="4">
        <v>35</v>
      </c>
      <c r="F26" s="5">
        <v>46156</v>
      </c>
      <c r="G26" s="6">
        <v>3.4</v>
      </c>
      <c r="H26" s="13">
        <f t="shared" si="1"/>
        <v>12</v>
      </c>
      <c r="I26" s="13">
        <f t="shared" si="2"/>
        <v>420</v>
      </c>
      <c r="J26" s="13">
        <f t="shared" si="3"/>
        <v>63</v>
      </c>
      <c r="K26" s="13">
        <f t="shared" si="4"/>
        <v>357</v>
      </c>
      <c r="L26" s="13">
        <f t="shared" si="5"/>
        <v>74.97</v>
      </c>
      <c r="M26" s="13">
        <f t="shared" si="0"/>
        <v>431.97</v>
      </c>
      <c r="N26" t="str">
        <f t="shared" si="6"/>
        <v>APROBADO</v>
      </c>
      <c r="O26">
        <f t="shared" si="7"/>
        <v>5</v>
      </c>
      <c r="P26" t="str">
        <f t="shared" si="8"/>
        <v>EXC-122-2026</v>
      </c>
      <c r="Q26" t="str">
        <f>B26&amp;" ha obtenido un "&amp;G26&amp;" en "&amp;C26</f>
        <v>Javier Peña ha obtenido un 3,4 en Excel Avanzado</v>
      </c>
      <c r="R26">
        <f t="shared" si="9"/>
        <v>25</v>
      </c>
    </row>
    <row r="27" spans="1:18" x14ac:dyDescent="0.35">
      <c r="A27" s="4">
        <v>123</v>
      </c>
      <c r="B27" s="4" t="s">
        <v>55</v>
      </c>
      <c r="C27" s="4" t="s">
        <v>28</v>
      </c>
      <c r="D27" s="4" t="s">
        <v>26</v>
      </c>
      <c r="E27" s="4">
        <v>50</v>
      </c>
      <c r="F27" s="5">
        <v>46160</v>
      </c>
      <c r="G27" s="6">
        <v>9.4</v>
      </c>
      <c r="H27" s="13">
        <f t="shared" si="1"/>
        <v>18</v>
      </c>
      <c r="I27" s="13">
        <f t="shared" si="2"/>
        <v>900</v>
      </c>
      <c r="J27" s="13">
        <f t="shared" si="3"/>
        <v>0</v>
      </c>
      <c r="K27" s="13">
        <f t="shared" si="4"/>
        <v>900</v>
      </c>
      <c r="L27" s="13">
        <f t="shared" si="5"/>
        <v>189</v>
      </c>
      <c r="M27" s="13">
        <f t="shared" si="0"/>
        <v>1089</v>
      </c>
      <c r="N27" t="str">
        <f t="shared" si="6"/>
        <v>SOBRESALIENTE</v>
      </c>
      <c r="O27">
        <f t="shared" si="7"/>
        <v>5</v>
      </c>
      <c r="P27" t="str">
        <f t="shared" si="8"/>
        <v>CIB-123-2026</v>
      </c>
      <c r="Q27" t="str">
        <f>B27&amp;" ha obtenido un "&amp;G27&amp;" en "&amp;C27</f>
        <v>Alba Cortés ha obtenido un 9,4 en Ciberseguridad</v>
      </c>
      <c r="R27">
        <f t="shared" si="9"/>
        <v>1</v>
      </c>
    </row>
    <row r="28" spans="1:18" x14ac:dyDescent="0.35">
      <c r="A28" s="4">
        <v>124</v>
      </c>
      <c r="B28" s="4" t="s">
        <v>56</v>
      </c>
      <c r="C28" s="4" t="s">
        <v>29</v>
      </c>
      <c r="D28" s="4" t="s">
        <v>23</v>
      </c>
      <c r="E28" s="4">
        <v>15</v>
      </c>
      <c r="F28" s="5">
        <v>46163</v>
      </c>
      <c r="G28" s="6">
        <v>5.2</v>
      </c>
      <c r="H28" s="13">
        <f t="shared" si="1"/>
        <v>14</v>
      </c>
      <c r="I28" s="13">
        <f t="shared" si="2"/>
        <v>210</v>
      </c>
      <c r="J28" s="13">
        <f t="shared" si="3"/>
        <v>21</v>
      </c>
      <c r="K28" s="13">
        <f t="shared" si="4"/>
        <v>189</v>
      </c>
      <c r="L28" s="13">
        <f t="shared" si="5"/>
        <v>39.69</v>
      </c>
      <c r="M28" s="13">
        <f t="shared" si="0"/>
        <v>228.69</v>
      </c>
      <c r="N28" t="str">
        <f t="shared" si="6"/>
        <v>APROBADO</v>
      </c>
      <c r="O28">
        <f t="shared" si="7"/>
        <v>5</v>
      </c>
      <c r="P28" t="str">
        <f t="shared" si="8"/>
        <v>RED-124-2026</v>
      </c>
      <c r="Q28" t="str">
        <f>B28&amp;" ha obtenido un "&amp;G28&amp;" en "&amp;C28</f>
        <v>Rubén Soler ha obtenido un 5,2 en Redes</v>
      </c>
      <c r="R28">
        <f t="shared" si="9"/>
        <v>31</v>
      </c>
    </row>
    <row r="29" spans="1:18" x14ac:dyDescent="0.35">
      <c r="A29" s="4">
        <v>125</v>
      </c>
      <c r="B29" s="4" t="s">
        <v>57</v>
      </c>
      <c r="C29" s="4" t="s">
        <v>22</v>
      </c>
      <c r="D29" s="4" t="s">
        <v>23</v>
      </c>
      <c r="E29" s="4">
        <v>56</v>
      </c>
      <c r="F29" s="5">
        <v>46167</v>
      </c>
      <c r="G29" s="6">
        <v>7.6</v>
      </c>
      <c r="H29" s="13">
        <f t="shared" si="1"/>
        <v>15</v>
      </c>
      <c r="I29" s="13">
        <f t="shared" si="2"/>
        <v>840</v>
      </c>
      <c r="J29" s="13">
        <f t="shared" si="3"/>
        <v>84</v>
      </c>
      <c r="K29" s="13">
        <f t="shared" si="4"/>
        <v>756</v>
      </c>
      <c r="L29" s="13">
        <f t="shared" si="5"/>
        <v>158.76</v>
      </c>
      <c r="M29" s="13">
        <f t="shared" si="0"/>
        <v>914.76</v>
      </c>
      <c r="N29" t="str">
        <f t="shared" si="6"/>
        <v>NOTABLE</v>
      </c>
      <c r="O29">
        <f t="shared" si="7"/>
        <v>5</v>
      </c>
      <c r="P29" t="str">
        <f t="shared" si="8"/>
        <v>PYT-125-2026</v>
      </c>
      <c r="Q29" t="str">
        <f>B29&amp;" ha obtenido un "&amp;G29&amp;" en "&amp;C29</f>
        <v>Silvia Bravo ha obtenido un 7,6 en Python</v>
      </c>
      <c r="R29">
        <f t="shared" si="9"/>
        <v>4</v>
      </c>
    </row>
    <row r="30" spans="1:18" x14ac:dyDescent="0.35">
      <c r="A30" s="4">
        <v>126</v>
      </c>
      <c r="B30" s="4" t="s">
        <v>58</v>
      </c>
      <c r="C30" s="4" t="s">
        <v>24</v>
      </c>
      <c r="D30" s="4" t="s">
        <v>26</v>
      </c>
      <c r="E30" s="4">
        <v>42</v>
      </c>
      <c r="F30" s="5">
        <v>46170</v>
      </c>
      <c r="G30" s="6">
        <v>6.1</v>
      </c>
      <c r="H30" s="13">
        <f t="shared" si="1"/>
        <v>12</v>
      </c>
      <c r="I30" s="13">
        <f t="shared" si="2"/>
        <v>504</v>
      </c>
      <c r="J30" s="13">
        <f t="shared" si="3"/>
        <v>0</v>
      </c>
      <c r="K30" s="13">
        <f t="shared" si="4"/>
        <v>504</v>
      </c>
      <c r="L30" s="13">
        <f t="shared" si="5"/>
        <v>105.83999999999999</v>
      </c>
      <c r="M30" s="13">
        <f t="shared" si="0"/>
        <v>609.84</v>
      </c>
      <c r="N30" t="str">
        <f t="shared" si="6"/>
        <v>APROBADO</v>
      </c>
      <c r="O30">
        <f t="shared" si="7"/>
        <v>5</v>
      </c>
      <c r="P30" t="str">
        <f t="shared" si="8"/>
        <v>EXC-126-2026</v>
      </c>
      <c r="Q30" t="str">
        <f>B30&amp;" ha obtenido un "&amp;G30&amp;" en "&amp;C30</f>
        <v>David Reyes ha obtenido un 6,1 en Excel Avanzado</v>
      </c>
      <c r="R30">
        <f t="shared" si="9"/>
        <v>15</v>
      </c>
    </row>
    <row r="31" spans="1:18" x14ac:dyDescent="0.35">
      <c r="A31" s="4">
        <v>127</v>
      </c>
      <c r="B31" s="4" t="s">
        <v>59</v>
      </c>
      <c r="C31" s="4" t="s">
        <v>28</v>
      </c>
      <c r="D31" s="4" t="s">
        <v>23</v>
      </c>
      <c r="E31" s="4">
        <v>40</v>
      </c>
      <c r="F31" s="5">
        <v>46174</v>
      </c>
      <c r="G31" s="6">
        <v>8.5</v>
      </c>
      <c r="H31" s="13">
        <f t="shared" si="1"/>
        <v>18</v>
      </c>
      <c r="I31" s="13">
        <f t="shared" si="2"/>
        <v>720</v>
      </c>
      <c r="J31" s="13">
        <f t="shared" si="3"/>
        <v>144</v>
      </c>
      <c r="K31" s="13">
        <f t="shared" si="4"/>
        <v>576</v>
      </c>
      <c r="L31" s="13">
        <f t="shared" si="5"/>
        <v>120.96</v>
      </c>
      <c r="M31" s="13">
        <f t="shared" si="0"/>
        <v>696.96</v>
      </c>
      <c r="N31" t="str">
        <f t="shared" si="6"/>
        <v>NOTABLE</v>
      </c>
      <c r="O31">
        <f t="shared" si="7"/>
        <v>6</v>
      </c>
      <c r="P31" t="str">
        <f t="shared" si="8"/>
        <v>CIB-127-2026</v>
      </c>
      <c r="Q31" t="str">
        <f>B31&amp;" ha obtenido un "&amp;G31&amp;" en "&amp;C31</f>
        <v>Laura Vega ha obtenido un 8,5 en Ciberseguridad</v>
      </c>
      <c r="R31">
        <f t="shared" si="9"/>
        <v>9</v>
      </c>
    </row>
    <row r="32" spans="1:18" x14ac:dyDescent="0.35">
      <c r="A32" s="4">
        <v>128</v>
      </c>
      <c r="B32" s="4" t="s">
        <v>60</v>
      </c>
      <c r="C32" s="4" t="s">
        <v>29</v>
      </c>
      <c r="D32" s="4" t="s">
        <v>26</v>
      </c>
      <c r="E32" s="4">
        <v>35</v>
      </c>
      <c r="F32" s="5">
        <v>46177</v>
      </c>
      <c r="G32" s="6">
        <v>4.9000000000000004</v>
      </c>
      <c r="H32" s="13">
        <f t="shared" si="1"/>
        <v>14</v>
      </c>
      <c r="I32" s="13">
        <f t="shared" si="2"/>
        <v>490</v>
      </c>
      <c r="J32" s="13">
        <f t="shared" si="3"/>
        <v>0</v>
      </c>
      <c r="K32" s="13">
        <f t="shared" si="4"/>
        <v>490</v>
      </c>
      <c r="L32" s="13">
        <f t="shared" si="5"/>
        <v>102.89999999999999</v>
      </c>
      <c r="M32" s="13">
        <f t="shared" si="0"/>
        <v>592.9</v>
      </c>
      <c r="N32" t="str">
        <f t="shared" si="6"/>
        <v>NOTABLE</v>
      </c>
      <c r="O32">
        <f t="shared" si="7"/>
        <v>6</v>
      </c>
      <c r="P32" t="str">
        <f t="shared" si="8"/>
        <v>RED-128-2026</v>
      </c>
      <c r="Q32" t="str">
        <f>B32&amp;" ha obtenido un "&amp;G32&amp;" en "&amp;C32</f>
        <v>Andrés Fuentes ha obtenido un 4,9 en Redes</v>
      </c>
      <c r="R32">
        <f t="shared" si="9"/>
        <v>16</v>
      </c>
    </row>
    <row r="33" spans="1:18" x14ac:dyDescent="0.35">
      <c r="A33" s="4">
        <v>129</v>
      </c>
      <c r="B33" s="4" t="s">
        <v>61</v>
      </c>
      <c r="C33" s="4" t="s">
        <v>22</v>
      </c>
      <c r="D33" s="4" t="s">
        <v>26</v>
      </c>
      <c r="E33" s="4">
        <v>25</v>
      </c>
      <c r="F33" s="5">
        <v>46181</v>
      </c>
      <c r="G33" s="6">
        <v>9.8000000000000007</v>
      </c>
      <c r="H33" s="13">
        <f t="shared" si="1"/>
        <v>15</v>
      </c>
      <c r="I33" s="13">
        <f t="shared" si="2"/>
        <v>375</v>
      </c>
      <c r="J33" s="13">
        <f t="shared" si="3"/>
        <v>0</v>
      </c>
      <c r="K33" s="13">
        <f t="shared" si="4"/>
        <v>375</v>
      </c>
      <c r="L33" s="13">
        <f t="shared" si="5"/>
        <v>78.75</v>
      </c>
      <c r="M33" s="13">
        <f t="shared" si="0"/>
        <v>453.75</v>
      </c>
      <c r="N33" t="str">
        <f t="shared" si="6"/>
        <v>SOBRESALIENTE</v>
      </c>
      <c r="O33">
        <f t="shared" si="7"/>
        <v>6</v>
      </c>
      <c r="P33" t="str">
        <f t="shared" si="8"/>
        <v>PYT-129-2026</v>
      </c>
      <c r="Q33" t="str">
        <f>B33&amp;" ha obtenido un "&amp;G33&amp;" en "&amp;C33</f>
        <v>Irene Salas ha obtenido un 9,8 en Python</v>
      </c>
      <c r="R33">
        <f t="shared" si="9"/>
        <v>23</v>
      </c>
    </row>
    <row r="34" spans="1:18" x14ac:dyDescent="0.35">
      <c r="A34" s="4">
        <v>130</v>
      </c>
      <c r="B34" s="4" t="s">
        <v>62</v>
      </c>
      <c r="C34" s="4" t="s">
        <v>24</v>
      </c>
      <c r="D34" s="4" t="s">
        <v>23</v>
      </c>
      <c r="E34" s="4">
        <v>50</v>
      </c>
      <c r="F34" s="5">
        <v>46184</v>
      </c>
      <c r="G34" s="6">
        <v>7</v>
      </c>
      <c r="H34" s="13">
        <f t="shared" si="1"/>
        <v>12</v>
      </c>
      <c r="I34" s="13">
        <f t="shared" si="2"/>
        <v>600</v>
      </c>
      <c r="J34" s="13">
        <f t="shared" si="3"/>
        <v>90</v>
      </c>
      <c r="K34" s="13">
        <f t="shared" si="4"/>
        <v>510</v>
      </c>
      <c r="L34" s="13">
        <f t="shared" si="5"/>
        <v>107.1</v>
      </c>
      <c r="M34" s="13">
        <f t="shared" si="0"/>
        <v>617.1</v>
      </c>
      <c r="N34" t="str">
        <f t="shared" si="6"/>
        <v>NOTABLE</v>
      </c>
      <c r="O34">
        <f t="shared" si="7"/>
        <v>6</v>
      </c>
      <c r="P34" t="str">
        <f t="shared" si="8"/>
        <v>EXC-130-2026</v>
      </c>
      <c r="Q34" t="str">
        <f>B34&amp;" ha obtenido un "&amp;G34&amp;" en "&amp;C34</f>
        <v>Jorge Blanco ha obtenido un 7 en Excel Avanzado</v>
      </c>
      <c r="R34">
        <f t="shared" si="9"/>
        <v>14</v>
      </c>
    </row>
    <row r="35" spans="1:18" x14ac:dyDescent="0.35">
      <c r="A35" s="4">
        <v>131</v>
      </c>
      <c r="B35" s="4" t="s">
        <v>63</v>
      </c>
      <c r="C35" s="4" t="s">
        <v>28</v>
      </c>
      <c r="D35" s="4" t="s">
        <v>26</v>
      </c>
      <c r="E35" s="4">
        <v>22</v>
      </c>
      <c r="F35" s="5">
        <v>46188</v>
      </c>
      <c r="G35" s="6">
        <v>5.6</v>
      </c>
      <c r="H35" s="13">
        <f t="shared" si="1"/>
        <v>18</v>
      </c>
      <c r="I35" s="13">
        <f t="shared" si="2"/>
        <v>396</v>
      </c>
      <c r="J35" s="13">
        <f t="shared" si="3"/>
        <v>0</v>
      </c>
      <c r="K35" s="13">
        <f t="shared" si="4"/>
        <v>396</v>
      </c>
      <c r="L35" s="13">
        <f t="shared" si="5"/>
        <v>83.16</v>
      </c>
      <c r="M35" s="13">
        <f t="shared" si="0"/>
        <v>479.15999999999997</v>
      </c>
      <c r="N35" t="str">
        <f t="shared" si="6"/>
        <v>APROBADO</v>
      </c>
      <c r="O35">
        <f t="shared" si="7"/>
        <v>6</v>
      </c>
      <c r="P35" t="str">
        <f t="shared" si="8"/>
        <v>CIB-131-2026</v>
      </c>
      <c r="Q35" t="str">
        <f>B35&amp;" ha obtenido un "&amp;G35&amp;" en "&amp;C35</f>
        <v>Cristina Lara ha obtenido un 5,6 en Ciberseguridad</v>
      </c>
      <c r="R35">
        <f t="shared" si="9"/>
        <v>20</v>
      </c>
    </row>
    <row r="36" spans="1:18" x14ac:dyDescent="0.35">
      <c r="A36" s="4">
        <v>132</v>
      </c>
      <c r="B36" s="4" t="s">
        <v>64</v>
      </c>
      <c r="C36" s="4" t="s">
        <v>29</v>
      </c>
      <c r="D36" s="4" t="s">
        <v>23</v>
      </c>
      <c r="E36" s="4">
        <v>55</v>
      </c>
      <c r="F36" s="5">
        <v>46191</v>
      </c>
      <c r="G36" s="6">
        <v>6.4</v>
      </c>
      <c r="H36" s="13">
        <f t="shared" si="1"/>
        <v>14</v>
      </c>
      <c r="I36" s="13">
        <f t="shared" si="2"/>
        <v>770</v>
      </c>
      <c r="J36" s="13">
        <f t="shared" si="3"/>
        <v>77</v>
      </c>
      <c r="K36" s="13">
        <f t="shared" si="4"/>
        <v>693</v>
      </c>
      <c r="L36" s="13">
        <f t="shared" si="5"/>
        <v>145.53</v>
      </c>
      <c r="M36" s="13">
        <f t="shared" si="0"/>
        <v>838.53</v>
      </c>
      <c r="N36" t="str">
        <f t="shared" si="6"/>
        <v>APROBADO</v>
      </c>
      <c r="O36">
        <f t="shared" si="7"/>
        <v>6</v>
      </c>
      <c r="P36" t="str">
        <f t="shared" si="8"/>
        <v>RED-132-2026</v>
      </c>
      <c r="Q36" t="str">
        <f>B36&amp;" ha obtenido un "&amp;G36&amp;" en "&amp;C36</f>
        <v>Víctor Mena ha obtenido un 6,4 en Redes</v>
      </c>
      <c r="R36">
        <f t="shared" si="9"/>
        <v>6</v>
      </c>
    </row>
    <row r="39" spans="1:18" x14ac:dyDescent="0.35">
      <c r="A39" s="14" t="s">
        <v>65</v>
      </c>
      <c r="E39" s="8" t="s">
        <v>66</v>
      </c>
    </row>
    <row r="40" spans="1:18" x14ac:dyDescent="0.35">
      <c r="A40" s="15"/>
      <c r="B40" s="3" t="s">
        <v>67</v>
      </c>
      <c r="C40" s="3" t="s">
        <v>68</v>
      </c>
      <c r="I40" s="8" t="s">
        <v>69</v>
      </c>
      <c r="N40" s="8" t="s">
        <v>70</v>
      </c>
    </row>
    <row r="41" spans="1:18" x14ac:dyDescent="0.35">
      <c r="A41" s="9" t="s">
        <v>71</v>
      </c>
      <c r="B41">
        <f>SUM(E5:E36)</f>
        <v>1135</v>
      </c>
      <c r="C41" s="13">
        <f>SUM(M5:M36)</f>
        <v>18926.82</v>
      </c>
      <c r="E41" s="10" t="s">
        <v>72</v>
      </c>
      <c r="G41">
        <f>COUNTIF($C$5:$C$36,$I$43)</f>
        <v>8</v>
      </c>
      <c r="I41" s="3" t="s">
        <v>4</v>
      </c>
      <c r="J41" s="3" t="s">
        <v>73</v>
      </c>
      <c r="K41" s="3" t="s">
        <v>74</v>
      </c>
      <c r="L41" s="3" t="s">
        <v>75</v>
      </c>
      <c r="N41" s="3" t="s">
        <v>16</v>
      </c>
      <c r="O41" s="3" t="s">
        <v>73</v>
      </c>
    </row>
    <row r="42" spans="1:18" x14ac:dyDescent="0.35">
      <c r="A42" s="9" t="s">
        <v>76</v>
      </c>
      <c r="B42">
        <f>AVERAGE(E5:E36)</f>
        <v>35.46875</v>
      </c>
      <c r="C42" s="13">
        <f>AVERAGE(M5:M36)</f>
        <v>591.46312499999999</v>
      </c>
      <c r="E42" s="10" t="s">
        <v>77</v>
      </c>
      <c r="G42">
        <f>COUNTIF($D$5:$D$36,"Online")</f>
        <v>16</v>
      </c>
      <c r="I42" s="4" t="s">
        <v>24</v>
      </c>
      <c r="J42">
        <f>COUNTIF($C$5:$C$36,I42)</f>
        <v>8</v>
      </c>
      <c r="K42" s="13">
        <f>SUMIF($C$5:$C$36,I42,$M$5:$M$36)</f>
        <v>3455.7599999999998</v>
      </c>
      <c r="L42" s="13">
        <f>AVERAGEIF($C$5:$C$36,I42,$M$5:$M$36)</f>
        <v>431.96999999999997</v>
      </c>
      <c r="N42" s="4">
        <v>3</v>
      </c>
      <c r="O42">
        <f>COUNTIF($O$5:$O$36,N42)</f>
        <v>9</v>
      </c>
    </row>
    <row r="43" spans="1:18" x14ac:dyDescent="0.35">
      <c r="A43" s="9" t="s">
        <v>78</v>
      </c>
      <c r="B43">
        <f>MAX(E5:E36)</f>
        <v>60</v>
      </c>
      <c r="C43" s="13">
        <f>MAX(M5:M36)</f>
        <v>1089</v>
      </c>
      <c r="E43" s="10" t="s">
        <v>79</v>
      </c>
      <c r="G43">
        <f>COUNTIFS($C$5:$C$36,$I$45,$D$5:$D$36,"Online")</f>
        <v>4</v>
      </c>
      <c r="I43" s="4" t="s">
        <v>22</v>
      </c>
      <c r="J43">
        <f>COUNTIF($C$5:$C$36,I43)</f>
        <v>8</v>
      </c>
      <c r="K43" s="13">
        <f t="shared" ref="K43:K45" si="10">SUMIF($C$5:$C$36,I43,$M$5:$M$36)</f>
        <v>5216.3100000000004</v>
      </c>
      <c r="L43" s="13">
        <f t="shared" ref="L43:L45" si="11">AVERAGEIF($C$5:$C$36,I43,$M$5:$M$36)</f>
        <v>652.03875000000005</v>
      </c>
      <c r="N43" s="4">
        <v>4</v>
      </c>
      <c r="O43">
        <f t="shared" ref="O43:O45" si="12">COUNTIF($O$5:$O$36,N43)</f>
        <v>9</v>
      </c>
    </row>
    <row r="44" spans="1:18" x14ac:dyDescent="0.35">
      <c r="A44" s="9" t="s">
        <v>80</v>
      </c>
      <c r="B44">
        <f>MIN(E5:E36)</f>
        <v>15</v>
      </c>
      <c r="C44" s="13">
        <f>MIN(M5:M36)</f>
        <v>185.13</v>
      </c>
      <c r="E44" s="10" t="s">
        <v>81</v>
      </c>
      <c r="G44">
        <f>COUNTIFS($D$5:$D$36,"Presencial",$G$5:$G$36,"&gt;=5")</f>
        <v>13</v>
      </c>
      <c r="I44" s="4" t="s">
        <v>29</v>
      </c>
      <c r="J44">
        <f>COUNTIF($C$5:$C$36,I44)</f>
        <v>8</v>
      </c>
      <c r="K44" s="13">
        <f t="shared" si="10"/>
        <v>4243.47</v>
      </c>
      <c r="L44" s="13">
        <f t="shared" si="11"/>
        <v>530.43375000000003</v>
      </c>
      <c r="N44" s="4">
        <v>5</v>
      </c>
      <c r="O44">
        <f t="shared" si="12"/>
        <v>8</v>
      </c>
    </row>
    <row r="45" spans="1:18" x14ac:dyDescent="0.35">
      <c r="A45" s="9" t="s">
        <v>82</v>
      </c>
      <c r="B45">
        <f>COUNT(E5:E36)</f>
        <v>32</v>
      </c>
      <c r="C45">
        <f>COUNT(M5:M36)</f>
        <v>32</v>
      </c>
      <c r="E45" s="10" t="s">
        <v>83</v>
      </c>
      <c r="G45">
        <f>SUMIFS($M$5:$M$36,$C$5:$C$36,$I$43)</f>
        <v>5216.3100000000004</v>
      </c>
      <c r="I45" s="4" t="s">
        <v>28</v>
      </c>
      <c r="J45">
        <f>COUNTIF($C$5:$C$36,I45)</f>
        <v>8</v>
      </c>
      <c r="K45" s="13">
        <f t="shared" si="10"/>
        <v>6011.28</v>
      </c>
      <c r="L45" s="13">
        <f t="shared" si="11"/>
        <v>751.41</v>
      </c>
      <c r="N45" s="4">
        <v>6</v>
      </c>
      <c r="O45">
        <f t="shared" si="12"/>
        <v>6</v>
      </c>
    </row>
    <row r="46" spans="1:18" x14ac:dyDescent="0.35">
      <c r="E46" s="10" t="s">
        <v>84</v>
      </c>
      <c r="G46">
        <f>SUMIFS($E$5:$E$36,$D$5:$D$36,"Online")</f>
        <v>606</v>
      </c>
    </row>
    <row r="47" spans="1:18" x14ac:dyDescent="0.35">
      <c r="E47" s="10" t="s">
        <v>85</v>
      </c>
      <c r="G47">
        <f>SUMIFS($M$5:$M$36,$D$5:$D$36,"Online",$C$5:$C$36,"Ciberseguridad")</f>
        <v>2700.7200000000003</v>
      </c>
    </row>
    <row r="48" spans="1:18" x14ac:dyDescent="0.35">
      <c r="E48" s="10" t="s">
        <v>86</v>
      </c>
      <c r="G48">
        <f>AVERAGEIF($C$5:$C$36,"Python",$G$5:$G$36)</f>
        <v>7.4875000000000007</v>
      </c>
    </row>
    <row r="49" spans="5:7" x14ac:dyDescent="0.35">
      <c r="E49" s="10" t="s">
        <v>87</v>
      </c>
      <c r="G49" s="16">
        <f>COUNTIF(D5:D36,"Online")/COUNTA($D$5:$D$36)</f>
        <v>0.5</v>
      </c>
    </row>
  </sheetData>
  <mergeCells count="1">
    <mergeCell ref="A1:R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Gráficos</vt:lpstr>
      </vt:variant>
      <vt:variant>
        <vt:i4>2</vt:i4>
      </vt:variant>
    </vt:vector>
  </HeadingPairs>
  <TitlesOfParts>
    <vt:vector size="3" baseType="lpstr">
      <vt:lpstr>MATRICULAS</vt:lpstr>
      <vt:lpstr>Gráfico_CIRCULAR</vt:lpstr>
      <vt:lpstr>Gráfico_COLUMNA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Juan Jose Membrillo Zapata</cp:lastModifiedBy>
  <dcterms:created xsi:type="dcterms:W3CDTF">2026-07-03T00:04:53Z</dcterms:created>
  <dcterms:modified xsi:type="dcterms:W3CDTF">2026-07-03T13:59:05Z</dcterms:modified>
</cp:coreProperties>
</file>